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48\proracun\BIBIJANA\PRORAČUNI\PRORAČUN 2021\UPUTE županija\PRILOZI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2" i="1"/>
  <c r="D26" i="1"/>
  <c r="D49" i="1"/>
  <c r="D58" i="1"/>
  <c r="D84" i="1"/>
  <c r="D97" i="1"/>
  <c r="D115" i="1"/>
  <c r="C115" i="1"/>
  <c r="C97" i="1"/>
  <c r="C84" i="1"/>
  <c r="C58" i="1"/>
  <c r="C49" i="1"/>
  <c r="C26" i="1"/>
  <c r="C22" i="1"/>
  <c r="C13" i="1"/>
  <c r="H13" i="1"/>
  <c r="G13" i="1"/>
  <c r="F13" i="1"/>
  <c r="E13" i="1"/>
  <c r="D12" i="1"/>
  <c r="D7" i="1"/>
  <c r="D109" i="1"/>
  <c r="D106" i="1"/>
  <c r="D39" i="1"/>
  <c r="D32" i="1"/>
  <c r="D30" i="1"/>
  <c r="D27" i="1"/>
  <c r="D28" i="1"/>
  <c r="D29" i="1"/>
  <c r="D21" i="1"/>
  <c r="D14" i="1"/>
  <c r="D16" i="1"/>
  <c r="D20" i="1"/>
  <c r="D19" i="1"/>
  <c r="D17" i="1"/>
  <c r="D103" i="1"/>
  <c r="D102" i="1"/>
  <c r="D101" i="1"/>
  <c r="D100" i="1"/>
  <c r="D99" i="1"/>
  <c r="D25" i="1"/>
  <c r="D71" i="1"/>
  <c r="D80" i="1"/>
  <c r="D82" i="1"/>
  <c r="D75" i="1"/>
  <c r="D76" i="1"/>
  <c r="D79" i="1"/>
  <c r="D78" i="1"/>
  <c r="D73" i="1"/>
  <c r="D56" i="1"/>
  <c r="D55" i="1"/>
  <c r="D83" i="1"/>
  <c r="D51" i="1"/>
  <c r="D95" i="1"/>
  <c r="D85" i="1"/>
  <c r="D92" i="1"/>
  <c r="D54" i="1"/>
  <c r="D53" i="1"/>
  <c r="D52" i="1"/>
  <c r="D96" i="1"/>
  <c r="D88" i="1"/>
  <c r="D18" i="1"/>
  <c r="D48" i="1"/>
  <c r="D46" i="1"/>
  <c r="D35" i="1"/>
  <c r="D91" i="1"/>
  <c r="D94" i="1"/>
  <c r="D93" i="1"/>
  <c r="D87" i="1"/>
  <c r="D86" i="1"/>
  <c r="D72" i="1"/>
  <c r="D81" i="1"/>
  <c r="D59" i="1"/>
  <c r="D60" i="1"/>
  <c r="D69" i="1"/>
  <c r="D68" i="1"/>
  <c r="D67" i="1"/>
  <c r="D63" i="1"/>
  <c r="D66" i="1"/>
  <c r="D65" i="1"/>
  <c r="D50" i="1"/>
  <c r="D6" i="1"/>
  <c r="D108" i="1"/>
  <c r="D107" i="1"/>
  <c r="D114" i="1"/>
  <c r="D36" i="1"/>
  <c r="D113" i="1"/>
  <c r="D34" i="1"/>
  <c r="D111" i="1"/>
  <c r="D38" i="1"/>
  <c r="D33" i="1"/>
  <c r="D15" i="1"/>
  <c r="D62" i="1"/>
  <c r="D61" i="1"/>
  <c r="H115" i="1" l="1"/>
  <c r="H97" i="1"/>
  <c r="H84" i="1"/>
  <c r="H58" i="1"/>
  <c r="H49" i="1"/>
  <c r="H26" i="1"/>
  <c r="H22" i="1"/>
  <c r="G115" i="1"/>
  <c r="G97" i="1"/>
  <c r="G84" i="1"/>
  <c r="G58" i="1"/>
  <c r="G49" i="1"/>
  <c r="G26" i="1"/>
  <c r="G22" i="1"/>
  <c r="F115" i="1" l="1"/>
  <c r="E115" i="1"/>
  <c r="F97" i="1"/>
  <c r="E97" i="1"/>
  <c r="F84" i="1"/>
  <c r="E84" i="1"/>
  <c r="F58" i="1"/>
  <c r="E58" i="1"/>
  <c r="F49" i="1"/>
  <c r="E49" i="1"/>
  <c r="F26" i="1"/>
  <c r="E26" i="1"/>
  <c r="F22" i="1"/>
  <c r="E22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1" i="1"/>
  <c r="C80" i="1"/>
  <c r="C78" i="1"/>
  <c r="C77" i="1"/>
  <c r="C76" i="1"/>
  <c r="C75" i="1"/>
  <c r="C74" i="1"/>
  <c r="C73" i="1"/>
  <c r="C72" i="1"/>
  <c r="C64" i="1"/>
  <c r="C63" i="1"/>
  <c r="C62" i="1"/>
  <c r="C61" i="1"/>
  <c r="C60" i="1"/>
  <c r="C59" i="1"/>
  <c r="C57" i="1"/>
  <c r="C56" i="1"/>
  <c r="C55" i="1"/>
  <c r="C54" i="1"/>
  <c r="C53" i="1"/>
  <c r="C52" i="1"/>
  <c r="C51" i="1"/>
  <c r="C50" i="1"/>
  <c r="C48" i="1"/>
  <c r="C47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5" i="1"/>
  <c r="C24" i="1"/>
  <c r="C23" i="1"/>
  <c r="C21" i="1"/>
  <c r="C20" i="1"/>
  <c r="C19" i="1"/>
  <c r="C18" i="1"/>
  <c r="C17" i="1"/>
  <c r="C16" i="1"/>
  <c r="C15" i="1"/>
  <c r="C14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<sst xmlns="http://schemas.openxmlformats.org/spreadsheetml/2006/main" count="240" uniqueCount="140">
  <si>
    <t xml:space="preserve">NOSITELJ </t>
  </si>
  <si>
    <t>NAZIV PROJEKTA</t>
  </si>
  <si>
    <t> AGRRA</t>
  </si>
  <si>
    <t>Skills+</t>
  </si>
  <si>
    <t>Adrianetbook</t>
  </si>
  <si>
    <t>Count me in</t>
  </si>
  <si>
    <t>AGRRA</t>
  </si>
  <si>
    <t>InvestInFish</t>
  </si>
  <si>
    <t>E-Citijens</t>
  </si>
  <si>
    <t>Geco 2</t>
  </si>
  <si>
    <t>CCI4Tourisam</t>
  </si>
  <si>
    <t>Apprenticeship HUBS</t>
  </si>
  <si>
    <t>Smartriver</t>
  </si>
  <si>
    <t>Ecowaves</t>
  </si>
  <si>
    <t>UKUPNO</t>
  </si>
  <si>
    <t>INOVACIJA</t>
  </si>
  <si>
    <t xml:space="preserve">Centar kreativne industrije </t>
  </si>
  <si>
    <t> INOVACIJA</t>
  </si>
  <si>
    <t>Innoxenia</t>
  </si>
  <si>
    <t>Rosie</t>
  </si>
  <si>
    <t>Centar za edukaciju i razvoj</t>
  </si>
  <si>
    <t>Stronger</t>
  </si>
  <si>
    <t>RI2 Integrate</t>
  </si>
  <si>
    <t>Networld</t>
  </si>
  <si>
    <t>Pružanje usl. inf. i pov. za MSP u ZŽ</t>
  </si>
  <si>
    <t> NATURA</t>
  </si>
  <si>
    <t>Crew</t>
  </si>
  <si>
    <t>NATURA</t>
  </si>
  <si>
    <t>Dinalp Connect</t>
  </si>
  <si>
    <t>Posbemed 2</t>
  </si>
  <si>
    <t>NATURA JADERA</t>
  </si>
  <si>
    <t>ZADRA</t>
  </si>
  <si>
    <t>SOS-Surađuj i ostvaruj sebe</t>
  </si>
  <si>
    <t>Urban Green Belts</t>
  </si>
  <si>
    <t>Mobilitas</t>
  </si>
  <si>
    <t>Chestnut</t>
  </si>
  <si>
    <t xml:space="preserve">Irene </t>
  </si>
  <si>
    <t>Ruins</t>
  </si>
  <si>
    <t>Smart Commuting</t>
  </si>
  <si>
    <t>Adriatic Canyoning</t>
  </si>
  <si>
    <t>Code</t>
  </si>
  <si>
    <t>Smile</t>
  </si>
  <si>
    <t>Adrion 5 Senses</t>
  </si>
  <si>
    <t>Adrireef</t>
  </si>
  <si>
    <t>Pepsea</t>
  </si>
  <si>
    <t>Made in Land</t>
  </si>
  <si>
    <t>Zadra Nova za vas</t>
  </si>
  <si>
    <t>ADRIA CLIM</t>
  </si>
  <si>
    <t>Hives</t>
  </si>
  <si>
    <t>Foster child rights</t>
  </si>
  <si>
    <t>Cowork MED</t>
  </si>
  <si>
    <t xml:space="preserve">Baštini </t>
  </si>
  <si>
    <t>InZadar2</t>
  </si>
  <si>
    <t>Zero Waste Blue</t>
  </si>
  <si>
    <t>ZADRA NOVA</t>
  </si>
  <si>
    <t>OŠ</t>
  </si>
  <si>
    <t>Erasmus+ KA219 OŠ Nin</t>
  </si>
  <si>
    <t> OŠ</t>
  </si>
  <si>
    <t>Inkluzija 2019/20 - OŠ</t>
  </si>
  <si>
    <t>Energetska obnova OŠ Gračac</t>
  </si>
  <si>
    <t>Energetska obnova OŠ Pag</t>
  </si>
  <si>
    <t>Energetska obnova OŠ Škabrnja</t>
  </si>
  <si>
    <t>Od mjere do karijere - Pripravništvo</t>
  </si>
  <si>
    <t>Prehrana u riziku od siromaštva</t>
  </si>
  <si>
    <t>Školska shema</t>
  </si>
  <si>
    <t>OSNOVNE ŠKOLE</t>
  </si>
  <si>
    <t>SŠ</t>
  </si>
  <si>
    <t>Erasmus+ KA102 S. Ožanića</t>
  </si>
  <si>
    <t>Erasmus+ KA102 GameINg Innovative Games</t>
  </si>
  <si>
    <t>Erasmus+ KA201 PICELS - GVN - Špa</t>
  </si>
  <si>
    <t>Erasmus+ KA116 V.V. - SŠ Brno Češka</t>
  </si>
  <si>
    <t>Erasmus+ KA219 - GVN</t>
  </si>
  <si>
    <t>Erasmus+ KA102 V.V. - Finska</t>
  </si>
  <si>
    <t>Budi spreman i kompetentan SŠ V.V.</t>
  </si>
  <si>
    <t>Inkluzija 2019/20 - SŠ</t>
  </si>
  <si>
    <t>Mali korak za bolje sutra - SŠ Benkovac</t>
  </si>
  <si>
    <t>Kako smo ispravljali Pisin toranj SŠ Benkovac</t>
  </si>
  <si>
    <t>Cooking Tour@Zadar</t>
  </si>
  <si>
    <t>Energetska obnova - V.Nazor</t>
  </si>
  <si>
    <t xml:space="preserve">Perma Horti-SŠ S. Ožanić </t>
  </si>
  <si>
    <t>Mi vas trebamo - SŠ Benkovac</t>
  </si>
  <si>
    <t>Laboratorij za mlade Prir. Graf. Škola</t>
  </si>
  <si>
    <t>Postanimo fin. i dig. pismeni SŠ V. V.</t>
  </si>
  <si>
    <t>NM</t>
  </si>
  <si>
    <t>Remember</t>
  </si>
  <si>
    <t>SREDNJE ŠKOLE I NARODNI MUZEJ</t>
  </si>
  <si>
    <t>OBZ</t>
  </si>
  <si>
    <t>Izgradnja i opremanje dnevnih bolnica</t>
  </si>
  <si>
    <t>Vaša sigurnost je u našim rukama</t>
  </si>
  <si>
    <t>LAB-OP</t>
  </si>
  <si>
    <t>Pripravništvo HZZ</t>
  </si>
  <si>
    <t>ZZJZ</t>
  </si>
  <si>
    <t xml:space="preserve">MELAdetect </t>
  </si>
  <si>
    <t>AdSWIM</t>
  </si>
  <si>
    <t>Moje zdravo dijete</t>
  </si>
  <si>
    <t>ON TIME</t>
  </si>
  <si>
    <t>DZZŽ</t>
  </si>
  <si>
    <t>Specijalističko usavršavanje doktora medicine</t>
  </si>
  <si>
    <t>ZHMZŽ</t>
  </si>
  <si>
    <t>PBU</t>
  </si>
  <si>
    <t>Investicijsko ulaganje</t>
  </si>
  <si>
    <t>USTANOVE U ZDRAVSTVU</t>
  </si>
  <si>
    <t>ZŽ</t>
  </si>
  <si>
    <t>Poboljšanje pristupa PZZ na otocima</t>
  </si>
  <si>
    <t>Europa Direct Zadar</t>
  </si>
  <si>
    <t xml:space="preserve">Centar izvrsnosti Cerovačke špilje </t>
  </si>
  <si>
    <t>Kulturna ruta</t>
  </si>
  <si>
    <t>Hercultour</t>
  </si>
  <si>
    <t>Pokret</t>
  </si>
  <si>
    <t>Podrška razvoju rane intervencije</t>
  </si>
  <si>
    <t>Firespill</t>
  </si>
  <si>
    <t>Pescar</t>
  </si>
  <si>
    <t>Prizefish</t>
  </si>
  <si>
    <t>Smartfish</t>
  </si>
  <si>
    <t>Sustavi navodnjavanja</t>
  </si>
  <si>
    <t>Argos</t>
  </si>
  <si>
    <t>ForBioEnergy</t>
  </si>
  <si>
    <t>Hera</t>
  </si>
  <si>
    <t>Readiness</t>
  </si>
  <si>
    <t>Dory</t>
  </si>
  <si>
    <t>UPRAVNI ODJELI ZADARSKE ŽUPANIJE</t>
  </si>
  <si>
    <t>NAPOMENA: UKOLIKO JE POTREBNO DODATI NOVI PROJEKT DODAJTE  GA UZ OPCIJU UMETNI RETKE LISTA</t>
  </si>
  <si>
    <r>
      <rPr>
        <sz val="12"/>
        <color rgb="FFFF0000"/>
        <rFont val="Times New Roman"/>
        <family val="1"/>
        <charset val="238"/>
      </rPr>
      <t>*</t>
    </r>
    <r>
      <rPr>
        <sz val="12"/>
        <color rgb="FF000000"/>
        <rFont val="Times New Roman"/>
        <family val="1"/>
        <charset val="238"/>
      </rPr>
      <t xml:space="preserve"> Upisani iznosi u ovoj koloni odnose se na planiranu naplatu prihoda u 2020. </t>
    </r>
    <r>
      <rPr>
        <b/>
        <i/>
        <sz val="12"/>
        <color rgb="FFFF0000"/>
        <rFont val="Times New Roman"/>
        <family val="1"/>
        <charset val="238"/>
      </rPr>
      <t>(izvor 18 - refundacija pomoći iz prošlih razdoblja, te izvor 54 - pomoć iz inozemstva u tekućem razdoblju).</t>
    </r>
  </si>
  <si>
    <r>
      <rPr>
        <sz val="12"/>
        <color rgb="FFFF0000"/>
        <rFont val="Times New Roman"/>
        <family val="1"/>
        <charset val="238"/>
      </rPr>
      <t>**</t>
    </r>
    <r>
      <rPr>
        <sz val="12"/>
        <color rgb="FF000000"/>
        <rFont val="Times New Roman"/>
        <family val="1"/>
        <charset val="238"/>
      </rPr>
      <t xml:space="preserve"> Upisati iznose očekivanih prihoda po pojedinom projektu čija se </t>
    </r>
    <r>
      <rPr>
        <b/>
        <i/>
        <sz val="12"/>
        <color rgb="FFFF0000"/>
        <rFont val="Times New Roman"/>
        <family val="1"/>
        <charset val="238"/>
      </rPr>
      <t>naplata očekuje do kraja 2020.</t>
    </r>
  </si>
  <si>
    <r>
      <t>IZMJENE I DOPUNE 2020.</t>
    </r>
    <r>
      <rPr>
        <b/>
        <sz val="10"/>
        <color rgb="FFFF0000"/>
        <rFont val="Times New Roman"/>
        <family val="1"/>
        <charset val="238"/>
      </rPr>
      <t>*</t>
    </r>
  </si>
  <si>
    <r>
      <t>PROCJENA PRIHODA DO 31.12.2020.</t>
    </r>
    <r>
      <rPr>
        <b/>
        <sz val="10"/>
        <color rgb="FFFF0000"/>
        <rFont val="Times New Roman"/>
        <family val="1"/>
        <charset val="238"/>
      </rPr>
      <t>**</t>
    </r>
  </si>
  <si>
    <r>
      <t>PROCJENA PRIHODA U 2021.</t>
    </r>
    <r>
      <rPr>
        <b/>
        <sz val="10"/>
        <color rgb="FFFF0000"/>
        <rFont val="Times New Roman"/>
        <family val="1"/>
        <charset val="238"/>
      </rPr>
      <t>***</t>
    </r>
  </si>
  <si>
    <r>
      <t>PROCJENA PRIHODA U 2022.</t>
    </r>
    <r>
      <rPr>
        <b/>
        <sz val="10"/>
        <color rgb="FFFF0000"/>
        <rFont val="Times New Roman"/>
        <family val="1"/>
        <charset val="238"/>
      </rPr>
      <t>***</t>
    </r>
  </si>
  <si>
    <r>
      <t>PROCJENA PRIHODA U 2023.</t>
    </r>
    <r>
      <rPr>
        <b/>
        <sz val="10"/>
        <color rgb="FFFF0000"/>
        <rFont val="Times New Roman"/>
        <family val="1"/>
        <charset val="238"/>
      </rPr>
      <t>***</t>
    </r>
  </si>
  <si>
    <r>
      <rPr>
        <sz val="12"/>
        <color rgb="FFFF0000"/>
        <rFont val="Times New Roman"/>
        <family val="1"/>
        <charset val="238"/>
      </rPr>
      <t>***</t>
    </r>
    <r>
      <rPr>
        <sz val="12"/>
        <color theme="1"/>
        <rFont val="Times New Roman"/>
        <family val="1"/>
        <charset val="238"/>
      </rPr>
      <t xml:space="preserve"> Upisati iznose očekivanih prihoda po pojedinom projektu čija se </t>
    </r>
    <r>
      <rPr>
        <b/>
        <i/>
        <sz val="12"/>
        <color rgb="FFFF0000"/>
        <rFont val="Times New Roman"/>
        <family val="1"/>
        <charset val="238"/>
      </rPr>
      <t>naplata očekuje u 2021., 2022. i 2023. godini.</t>
    </r>
  </si>
  <si>
    <t>OSTVARENJE DO 07.10.2020.</t>
  </si>
  <si>
    <t>Erasmus+ KA102 - SŠ Ekonomska</t>
  </si>
  <si>
    <t>Erasmus+ Gim. F. Petrića Eksp., kreativnost</t>
  </si>
  <si>
    <t>Erasmus+ KA219 - HTUŠ</t>
  </si>
  <si>
    <t>Erasmus+ LUNA - HTUŠ</t>
  </si>
  <si>
    <t>Erasmus+ Facing ARTS - Primjenjena</t>
  </si>
  <si>
    <t>Dobar posao u Benkovcu - SŠ Benkovac</t>
  </si>
  <si>
    <t>RCK - Medicinska škola</t>
  </si>
  <si>
    <t>Bolji uvjeti za učenje kroz rad - SŠ V. V.</t>
  </si>
  <si>
    <t>CUHaCHA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</si>
</sst>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workbookViewId="0">
      <selection activeCell="L18" sqref="L18"/>
    </sheetView>
  </sheetViews>
  <sheetFormatPr defaultRowHeight="15" x14ac:dyDescent="0.25"/>
  <cols>
    <col min="1" max="1" width="13.28515625" bestFit="1" customWidth="1"/>
    <col min="2" max="2" width="44.42578125" bestFit="1" customWidth="1"/>
    <col min="3" max="3" width="15.42578125" bestFit="1" customWidth="1"/>
    <col min="4" max="4" width="15.42578125" customWidth="1"/>
    <col min="5" max="5" width="18.5703125" customWidth="1"/>
    <col min="6" max="6" width="17.5703125" customWidth="1"/>
    <col min="7" max="7" width="16.85546875" customWidth="1"/>
    <col min="8" max="8" width="16.140625" customWidth="1"/>
  </cols>
  <sheetData>
    <row r="1" spans="1:8" ht="36.75" customHeight="1" x14ac:dyDescent="0.25">
      <c r="A1" s="1" t="s">
        <v>0</v>
      </c>
      <c r="B1" s="1" t="s">
        <v>1</v>
      </c>
      <c r="C1" s="2" t="s">
        <v>124</v>
      </c>
      <c r="D1" s="2" t="s">
        <v>130</v>
      </c>
      <c r="E1" s="2" t="s">
        <v>125</v>
      </c>
      <c r="F1" s="2" t="s">
        <v>126</v>
      </c>
      <c r="G1" s="2" t="s">
        <v>127</v>
      </c>
      <c r="H1" s="2" t="s">
        <v>128</v>
      </c>
    </row>
    <row r="2" spans="1:8" x14ac:dyDescent="0.25">
      <c r="A2" s="3" t="s">
        <v>2</v>
      </c>
      <c r="B2" s="4" t="s">
        <v>3</v>
      </c>
      <c r="C2" s="5">
        <f>71547.86+35000</f>
        <v>106547.86</v>
      </c>
      <c r="D2" s="5">
        <v>0</v>
      </c>
      <c r="E2" s="5">
        <v>0</v>
      </c>
      <c r="F2" s="5">
        <v>0</v>
      </c>
      <c r="G2" s="5">
        <v>0</v>
      </c>
      <c r="H2" s="5">
        <v>0</v>
      </c>
    </row>
    <row r="3" spans="1:8" x14ac:dyDescent="0.25">
      <c r="A3" s="3" t="s">
        <v>2</v>
      </c>
      <c r="B3" s="4" t="s">
        <v>4</v>
      </c>
      <c r="C3" s="6">
        <f>173000</f>
        <v>173000</v>
      </c>
      <c r="D3" s="6">
        <v>0</v>
      </c>
      <c r="E3" s="6">
        <v>0</v>
      </c>
      <c r="F3" s="5">
        <v>0</v>
      </c>
      <c r="G3" s="5">
        <v>0</v>
      </c>
      <c r="H3" s="5">
        <v>0</v>
      </c>
    </row>
    <row r="4" spans="1:8" x14ac:dyDescent="0.25">
      <c r="A4" s="3" t="s">
        <v>2</v>
      </c>
      <c r="B4" s="4" t="s">
        <v>5</v>
      </c>
      <c r="C4" s="6">
        <f>87000</f>
        <v>87000</v>
      </c>
      <c r="D4" s="6">
        <v>0</v>
      </c>
      <c r="E4" s="6">
        <v>0</v>
      </c>
      <c r="F4" s="5">
        <v>0</v>
      </c>
      <c r="G4" s="5">
        <v>0</v>
      </c>
      <c r="H4" s="5">
        <v>0</v>
      </c>
    </row>
    <row r="5" spans="1:8" x14ac:dyDescent="0.25">
      <c r="A5" s="3" t="s">
        <v>6</v>
      </c>
      <c r="B5" s="4" t="s">
        <v>7</v>
      </c>
      <c r="C5" s="6">
        <f>380000+201556.97</f>
        <v>581556.97</v>
      </c>
      <c r="D5" s="6">
        <v>0</v>
      </c>
      <c r="E5" s="6">
        <v>0</v>
      </c>
      <c r="F5" s="5">
        <v>0</v>
      </c>
      <c r="G5" s="5">
        <v>0</v>
      </c>
      <c r="H5" s="5">
        <v>0</v>
      </c>
    </row>
    <row r="6" spans="1:8" x14ac:dyDescent="0.25">
      <c r="A6" s="3" t="s">
        <v>6</v>
      </c>
      <c r="B6" s="4" t="s">
        <v>8</v>
      </c>
      <c r="C6" s="6">
        <f>615000+246250.26</f>
        <v>861250.26</v>
      </c>
      <c r="D6" s="6">
        <f>102353.58</f>
        <v>102353.58</v>
      </c>
      <c r="E6" s="6">
        <v>0</v>
      </c>
      <c r="F6" s="5">
        <v>0</v>
      </c>
      <c r="G6" s="5">
        <v>0</v>
      </c>
      <c r="H6" s="5">
        <v>0</v>
      </c>
    </row>
    <row r="7" spans="1:8" x14ac:dyDescent="0.25">
      <c r="A7" s="3" t="s">
        <v>6</v>
      </c>
      <c r="B7" s="4" t="s">
        <v>9</v>
      </c>
      <c r="C7" s="6">
        <f>507000+144131.35</f>
        <v>651131.35</v>
      </c>
      <c r="D7" s="6">
        <f>144131.35+171573.12</f>
        <v>315704.46999999997</v>
      </c>
      <c r="E7" s="6">
        <v>0</v>
      </c>
      <c r="F7" s="5">
        <v>0</v>
      </c>
      <c r="G7" s="5">
        <v>0</v>
      </c>
      <c r="H7" s="5">
        <v>0</v>
      </c>
    </row>
    <row r="8" spans="1:8" x14ac:dyDescent="0.25">
      <c r="A8" s="3" t="s">
        <v>6</v>
      </c>
      <c r="B8" s="4" t="s">
        <v>10</v>
      </c>
      <c r="C8" s="6">
        <f>323000</f>
        <v>323000</v>
      </c>
      <c r="D8" s="6">
        <v>0</v>
      </c>
      <c r="E8" s="6">
        <v>0</v>
      </c>
      <c r="F8" s="5">
        <v>0</v>
      </c>
      <c r="G8" s="5">
        <v>0</v>
      </c>
      <c r="H8" s="5">
        <v>0</v>
      </c>
    </row>
    <row r="9" spans="1:8" x14ac:dyDescent="0.25">
      <c r="A9" s="3" t="s">
        <v>6</v>
      </c>
      <c r="B9" s="4" t="s">
        <v>11</v>
      </c>
      <c r="C9" s="6">
        <f>521000</f>
        <v>521000</v>
      </c>
      <c r="D9" s="6">
        <v>0</v>
      </c>
      <c r="E9" s="6">
        <v>0</v>
      </c>
      <c r="F9" s="5">
        <v>0</v>
      </c>
      <c r="G9" s="5">
        <v>0</v>
      </c>
      <c r="H9" s="5">
        <v>0</v>
      </c>
    </row>
    <row r="10" spans="1:8" x14ac:dyDescent="0.25">
      <c r="A10" s="3" t="s">
        <v>6</v>
      </c>
      <c r="B10" s="4" t="s">
        <v>12</v>
      </c>
      <c r="C10" s="6">
        <f>223000</f>
        <v>223000</v>
      </c>
      <c r="D10" s="6">
        <v>0</v>
      </c>
      <c r="E10" s="6">
        <v>0</v>
      </c>
      <c r="F10" s="5">
        <v>0</v>
      </c>
      <c r="G10" s="5">
        <v>0</v>
      </c>
      <c r="H10" s="5">
        <v>0</v>
      </c>
    </row>
    <row r="11" spans="1:8" x14ac:dyDescent="0.25">
      <c r="A11" s="3" t="s">
        <v>6</v>
      </c>
      <c r="B11" s="4" t="s">
        <v>13</v>
      </c>
      <c r="C11" s="6">
        <f>223000</f>
        <v>223000</v>
      </c>
      <c r="D11" s="6">
        <v>0</v>
      </c>
      <c r="E11" s="6">
        <v>0</v>
      </c>
      <c r="F11" s="5">
        <v>0</v>
      </c>
      <c r="G11" s="5">
        <v>0</v>
      </c>
      <c r="H11" s="5">
        <v>0</v>
      </c>
    </row>
    <row r="12" spans="1:8" x14ac:dyDescent="0.25">
      <c r="A12" s="3" t="s">
        <v>6</v>
      </c>
      <c r="B12" s="4" t="s">
        <v>139</v>
      </c>
      <c r="C12" s="6">
        <v>0</v>
      </c>
      <c r="D12" s="6">
        <f>532357.07</f>
        <v>532357.06999999995</v>
      </c>
      <c r="E12" s="6">
        <v>0</v>
      </c>
      <c r="F12" s="5">
        <v>0</v>
      </c>
      <c r="G12" s="5">
        <v>0</v>
      </c>
      <c r="H12" s="5">
        <v>0</v>
      </c>
    </row>
    <row r="13" spans="1:8" x14ac:dyDescent="0.25">
      <c r="A13" s="7" t="s">
        <v>14</v>
      </c>
      <c r="B13" s="8" t="s">
        <v>6</v>
      </c>
      <c r="C13" s="9">
        <f t="shared" ref="C13:H13" si="0">SUM(C2:C12)</f>
        <v>3750486.44</v>
      </c>
      <c r="D13" s="9">
        <f t="shared" si="0"/>
        <v>950415.11999999988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si="0"/>
        <v>0</v>
      </c>
    </row>
    <row r="14" spans="1:8" x14ac:dyDescent="0.25">
      <c r="A14" s="3" t="s">
        <v>15</v>
      </c>
      <c r="B14" s="4" t="s">
        <v>16</v>
      </c>
      <c r="C14" s="6">
        <f>13078265+49418.3</f>
        <v>13127683.300000001</v>
      </c>
      <c r="D14" s="6">
        <f>8109779.62</f>
        <v>8109779.6200000001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5">
      <c r="A15" s="3" t="s">
        <v>17</v>
      </c>
      <c r="B15" s="4" t="s">
        <v>18</v>
      </c>
      <c r="C15" s="6">
        <f>481924.19</f>
        <v>481924.19</v>
      </c>
      <c r="D15" s="6">
        <f>37502</f>
        <v>37502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 t="s">
        <v>17</v>
      </c>
      <c r="B16" s="4" t="s">
        <v>19</v>
      </c>
      <c r="C16" s="6">
        <f>180426.32</f>
        <v>180426.32</v>
      </c>
      <c r="D16" s="6">
        <f>180426.32+9605.68</f>
        <v>190032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A17" s="3" t="s">
        <v>17</v>
      </c>
      <c r="B17" s="4" t="s">
        <v>20</v>
      </c>
      <c r="C17" s="6">
        <f>82015</f>
        <v>82015</v>
      </c>
      <c r="D17" s="6">
        <f>62417.6</f>
        <v>62417.599999999999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3" t="s">
        <v>15</v>
      </c>
      <c r="B18" s="4" t="s">
        <v>21</v>
      </c>
      <c r="C18" s="6">
        <f>304043+500050</f>
        <v>804093</v>
      </c>
      <c r="D18" s="6">
        <f>234524.27</f>
        <v>234524.27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25">
      <c r="A19" s="3" t="s">
        <v>15</v>
      </c>
      <c r="B19" s="4" t="s">
        <v>22</v>
      </c>
      <c r="C19" s="6">
        <f>337317.36</f>
        <v>337317.36</v>
      </c>
      <c r="D19" s="6">
        <f>337317.36+47337.23</f>
        <v>384654.58999999997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25">
      <c r="A20" s="3" t="s">
        <v>15</v>
      </c>
      <c r="B20" s="4" t="s">
        <v>23</v>
      </c>
      <c r="C20" s="6">
        <f>68774.8</f>
        <v>68774.8</v>
      </c>
      <c r="D20" s="6">
        <f>68774.8+56819.22</f>
        <v>125594.02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25">
      <c r="A21" s="3" t="s">
        <v>15</v>
      </c>
      <c r="B21" s="4" t="s">
        <v>24</v>
      </c>
      <c r="C21" s="6">
        <f>85390</f>
        <v>85390</v>
      </c>
      <c r="D21" s="6">
        <f>86420.17</f>
        <v>86420.17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25">
      <c r="A22" s="7" t="s">
        <v>14</v>
      </c>
      <c r="B22" s="8" t="s">
        <v>15</v>
      </c>
      <c r="C22" s="9">
        <f t="shared" ref="C22:H22" si="1">SUM(C14:C21)</f>
        <v>15167623.970000001</v>
      </c>
      <c r="D22" s="9">
        <f t="shared" si="1"/>
        <v>9230924.2699999996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</row>
    <row r="23" spans="1:8" x14ac:dyDescent="0.25">
      <c r="A23" s="3" t="s">
        <v>25</v>
      </c>
      <c r="B23" s="4" t="s">
        <v>26</v>
      </c>
      <c r="C23" s="10">
        <f>230000+181865.52</f>
        <v>411865.52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x14ac:dyDescent="0.25">
      <c r="A24" s="3" t="s">
        <v>27</v>
      </c>
      <c r="B24" s="4" t="s">
        <v>28</v>
      </c>
      <c r="C24" s="6">
        <f>187170</f>
        <v>187170</v>
      </c>
      <c r="D24" s="6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5">
      <c r="A25" s="3" t="s">
        <v>27</v>
      </c>
      <c r="B25" s="4" t="s">
        <v>29</v>
      </c>
      <c r="C25" s="6">
        <f>207972.9</f>
        <v>207972.9</v>
      </c>
      <c r="D25" s="6">
        <f>16033.13</f>
        <v>16033.13</v>
      </c>
      <c r="E25" s="10">
        <v>0</v>
      </c>
      <c r="F25" s="10">
        <v>0</v>
      </c>
      <c r="G25" s="10">
        <v>0</v>
      </c>
      <c r="H25" s="10">
        <v>0</v>
      </c>
    </row>
    <row r="26" spans="1:8" x14ac:dyDescent="0.25">
      <c r="A26" s="7" t="s">
        <v>14</v>
      </c>
      <c r="B26" s="8" t="s">
        <v>30</v>
      </c>
      <c r="C26" s="9">
        <f t="shared" ref="C26:H26" si="2">SUM(C23:C25)</f>
        <v>807008.42</v>
      </c>
      <c r="D26" s="9">
        <f t="shared" si="2"/>
        <v>16033.13</v>
      </c>
      <c r="E26" s="9">
        <f t="shared" si="2"/>
        <v>0</v>
      </c>
      <c r="F26" s="9">
        <f t="shared" si="2"/>
        <v>0</v>
      </c>
      <c r="G26" s="9">
        <f t="shared" si="2"/>
        <v>0</v>
      </c>
      <c r="H26" s="9">
        <f t="shared" si="2"/>
        <v>0</v>
      </c>
    </row>
    <row r="27" spans="1:8" x14ac:dyDescent="0.25">
      <c r="A27" s="11" t="s">
        <v>31</v>
      </c>
      <c r="B27" s="12" t="s">
        <v>32</v>
      </c>
      <c r="C27" s="6">
        <f>1076299.66</f>
        <v>1076299.6599999999</v>
      </c>
      <c r="D27" s="6">
        <f>328936.16</f>
        <v>328936.15999999997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A28" s="11" t="s">
        <v>31</v>
      </c>
      <c r="B28" s="12" t="s">
        <v>33</v>
      </c>
      <c r="C28" s="6">
        <f>114585.57+55487.73</f>
        <v>170073.30000000002</v>
      </c>
      <c r="D28" s="6">
        <f>114585.57+55487.73</f>
        <v>170073.30000000002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11" t="s">
        <v>31</v>
      </c>
      <c r="B29" s="12" t="s">
        <v>34</v>
      </c>
      <c r="C29" s="10">
        <f>46383.74+317905.71</f>
        <v>364289.45</v>
      </c>
      <c r="D29" s="10">
        <f>317905.71+134473.18</f>
        <v>452378.89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25">
      <c r="A30" s="11" t="s">
        <v>31</v>
      </c>
      <c r="B30" s="12" t="s">
        <v>35</v>
      </c>
      <c r="C30" s="13">
        <f>44300+448902.94</f>
        <v>493202.94</v>
      </c>
      <c r="D30" s="13">
        <f>448902.94+15162.93</f>
        <v>464065.87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25">
      <c r="A31" s="11" t="s">
        <v>31</v>
      </c>
      <c r="B31" s="12" t="s">
        <v>36</v>
      </c>
      <c r="C31" s="6">
        <f>1719936.94+1530437.85</f>
        <v>3250374.79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25">
      <c r="A32" s="11" t="s">
        <v>31</v>
      </c>
      <c r="B32" s="12" t="s">
        <v>37</v>
      </c>
      <c r="C32" s="10">
        <f>160500+67054.01</f>
        <v>227554.01</v>
      </c>
      <c r="D32" s="10">
        <f>67054.01+62403.89</f>
        <v>129457.9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25">
      <c r="A33" s="11" t="s">
        <v>31</v>
      </c>
      <c r="B33" s="12" t="s">
        <v>38</v>
      </c>
      <c r="C33" s="10">
        <f>238650+185241.89</f>
        <v>423891.89</v>
      </c>
      <c r="D33" s="10">
        <f>100713.91</f>
        <v>100713.91</v>
      </c>
      <c r="E33" s="6">
        <v>0</v>
      </c>
      <c r="F33" s="6">
        <v>0</v>
      </c>
      <c r="G33" s="6">
        <v>0</v>
      </c>
      <c r="H33" s="6">
        <v>0</v>
      </c>
    </row>
    <row r="34" spans="1:8" x14ac:dyDescent="0.25">
      <c r="A34" s="11" t="s">
        <v>31</v>
      </c>
      <c r="B34" s="12" t="s">
        <v>39</v>
      </c>
      <c r="C34" s="10">
        <f>2513.62+333956.34</f>
        <v>336469.96</v>
      </c>
      <c r="D34" s="10">
        <f>139590.7</f>
        <v>139590.70000000001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25">
      <c r="A35" s="11" t="s">
        <v>31</v>
      </c>
      <c r="B35" s="12" t="s">
        <v>40</v>
      </c>
      <c r="C35" s="6">
        <f>347936.95</f>
        <v>347936.95</v>
      </c>
      <c r="D35" s="6">
        <f>159898.95</f>
        <v>159898.95000000001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25">
      <c r="A36" s="11" t="s">
        <v>31</v>
      </c>
      <c r="B36" s="12" t="s">
        <v>41</v>
      </c>
      <c r="C36" s="6">
        <f>256623.18+148000</f>
        <v>404623.18</v>
      </c>
      <c r="D36" s="6">
        <f>179236.66</f>
        <v>179236.66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25">
      <c r="A37" s="11" t="s">
        <v>31</v>
      </c>
      <c r="B37" s="12" t="s">
        <v>42</v>
      </c>
      <c r="C37" s="6">
        <f>20000+538826.25</f>
        <v>558826.25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x14ac:dyDescent="0.25">
      <c r="A38" s="11" t="s">
        <v>31</v>
      </c>
      <c r="B38" s="12" t="s">
        <v>43</v>
      </c>
      <c r="C38" s="6">
        <f>59224.06</f>
        <v>59224.06</v>
      </c>
      <c r="D38" s="6">
        <f>46727.53</f>
        <v>46727.53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25">
      <c r="A39" s="11" t="s">
        <v>31</v>
      </c>
      <c r="B39" s="12" t="s">
        <v>44</v>
      </c>
      <c r="C39" s="6">
        <f>5858079.32</f>
        <v>5858079.3200000003</v>
      </c>
      <c r="D39" s="6">
        <f>1314114.47</f>
        <v>1314114.47</v>
      </c>
      <c r="E39" s="6">
        <v>0</v>
      </c>
      <c r="F39" s="6">
        <v>0</v>
      </c>
      <c r="G39" s="6">
        <v>0</v>
      </c>
      <c r="H39" s="6">
        <v>0</v>
      </c>
    </row>
    <row r="40" spans="1:8" x14ac:dyDescent="0.25">
      <c r="A40" s="11" t="s">
        <v>31</v>
      </c>
      <c r="B40" s="12" t="s">
        <v>45</v>
      </c>
      <c r="C40" s="6">
        <f>98176.18+225819.22</f>
        <v>323995.40000000002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25">
      <c r="A41" s="11" t="s">
        <v>31</v>
      </c>
      <c r="B41" s="12" t="s">
        <v>46</v>
      </c>
      <c r="C41" s="6">
        <f>4725859.18</f>
        <v>4725859.18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1:8" x14ac:dyDescent="0.25">
      <c r="A42" s="11" t="s">
        <v>31</v>
      </c>
      <c r="B42" s="12" t="s">
        <v>47</v>
      </c>
      <c r="C42" s="6">
        <f>55000</f>
        <v>55000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 x14ac:dyDescent="0.25">
      <c r="A43" s="11" t="s">
        <v>31</v>
      </c>
      <c r="B43" s="12" t="s">
        <v>48</v>
      </c>
      <c r="C43" s="6">
        <f>59744.86</f>
        <v>59744.86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1:8" x14ac:dyDescent="0.25">
      <c r="A44" s="11" t="s">
        <v>31</v>
      </c>
      <c r="B44" s="12" t="s">
        <v>49</v>
      </c>
      <c r="C44" s="6">
        <f>23130.03</f>
        <v>23130.03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1:8" x14ac:dyDescent="0.25">
      <c r="A45" s="11" t="s">
        <v>31</v>
      </c>
      <c r="B45" s="12" t="s">
        <v>50</v>
      </c>
      <c r="C45" s="6">
        <f>1563</f>
        <v>1563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1:8" x14ac:dyDescent="0.25">
      <c r="A46" s="11" t="s">
        <v>31</v>
      </c>
      <c r="B46" s="12" t="s">
        <v>51</v>
      </c>
      <c r="C46" s="6">
        <v>17288.82</v>
      </c>
      <c r="D46" s="6">
        <f>17288.82</f>
        <v>17288.82</v>
      </c>
      <c r="E46" s="6">
        <v>0</v>
      </c>
      <c r="F46" s="6">
        <v>0</v>
      </c>
      <c r="G46" s="6">
        <v>0</v>
      </c>
      <c r="H46" s="6">
        <v>0</v>
      </c>
    </row>
    <row r="47" spans="1:8" x14ac:dyDescent="0.25">
      <c r="A47" s="11" t="s">
        <v>31</v>
      </c>
      <c r="B47" s="12" t="s">
        <v>52</v>
      </c>
      <c r="C47" s="6">
        <f>59022.36</f>
        <v>59022.36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1:8" x14ac:dyDescent="0.25">
      <c r="A48" s="11" t="s">
        <v>31</v>
      </c>
      <c r="B48" s="12" t="s">
        <v>53</v>
      </c>
      <c r="C48" s="6">
        <f>399217.07</f>
        <v>399217.07</v>
      </c>
      <c r="D48" s="6">
        <f>234740.74</f>
        <v>234740.74</v>
      </c>
      <c r="E48" s="6">
        <v>0</v>
      </c>
      <c r="F48" s="6">
        <v>0</v>
      </c>
      <c r="G48" s="6">
        <v>0</v>
      </c>
      <c r="H48" s="6">
        <v>0</v>
      </c>
    </row>
    <row r="49" spans="1:8" x14ac:dyDescent="0.25">
      <c r="A49" s="7" t="s">
        <v>14</v>
      </c>
      <c r="B49" s="8" t="s">
        <v>54</v>
      </c>
      <c r="C49" s="9">
        <f t="shared" ref="C49:H49" si="3">SUM(C27:C48)</f>
        <v>19235666.48</v>
      </c>
      <c r="D49" s="9">
        <f t="shared" si="3"/>
        <v>3737223.8999999994</v>
      </c>
      <c r="E49" s="9">
        <f t="shared" si="3"/>
        <v>0</v>
      </c>
      <c r="F49" s="9">
        <f t="shared" si="3"/>
        <v>0</v>
      </c>
      <c r="G49" s="9">
        <f t="shared" si="3"/>
        <v>0</v>
      </c>
      <c r="H49" s="9">
        <f t="shared" si="3"/>
        <v>0</v>
      </c>
    </row>
    <row r="50" spans="1:8" x14ac:dyDescent="0.25">
      <c r="A50" s="11" t="s">
        <v>55</v>
      </c>
      <c r="B50" s="12" t="s">
        <v>56</v>
      </c>
      <c r="C50" s="6">
        <f>21000</f>
        <v>21000</v>
      </c>
      <c r="D50" s="6">
        <f>20881.28</f>
        <v>20881.28</v>
      </c>
      <c r="E50" s="6">
        <v>0</v>
      </c>
      <c r="F50" s="6">
        <v>0</v>
      </c>
      <c r="G50" s="6">
        <v>0</v>
      </c>
      <c r="H50" s="6">
        <v>0</v>
      </c>
    </row>
    <row r="51" spans="1:8" x14ac:dyDescent="0.25">
      <c r="A51" s="11" t="s">
        <v>57</v>
      </c>
      <c r="B51" s="12" t="s">
        <v>58</v>
      </c>
      <c r="C51" s="6">
        <f>2170458.3+44293.09</f>
        <v>2214751.3899999997</v>
      </c>
      <c r="D51" s="6">
        <f>44293.09+1293177.77</f>
        <v>1337470.8600000001</v>
      </c>
      <c r="E51" s="6">
        <v>0</v>
      </c>
      <c r="F51" s="6">
        <v>0</v>
      </c>
      <c r="G51" s="6">
        <v>0</v>
      </c>
      <c r="H51" s="6">
        <v>0</v>
      </c>
    </row>
    <row r="52" spans="1:8" x14ac:dyDescent="0.25">
      <c r="A52" s="11" t="s">
        <v>55</v>
      </c>
      <c r="B52" s="12" t="s">
        <v>59</v>
      </c>
      <c r="C52" s="6">
        <f>135679.62+880000</f>
        <v>1015679.62</v>
      </c>
      <c r="D52" s="6">
        <f>905570.33</f>
        <v>905570.33</v>
      </c>
      <c r="E52" s="6">
        <v>0</v>
      </c>
      <c r="F52" s="6">
        <v>0</v>
      </c>
      <c r="G52" s="6">
        <v>0</v>
      </c>
      <c r="H52" s="6">
        <v>0</v>
      </c>
    </row>
    <row r="53" spans="1:8" x14ac:dyDescent="0.25">
      <c r="A53" s="11" t="s">
        <v>55</v>
      </c>
      <c r="B53" s="12" t="s">
        <v>60</v>
      </c>
      <c r="C53" s="6">
        <f>230406.68</f>
        <v>230406.68</v>
      </c>
      <c r="D53" s="6">
        <f>230406.68</f>
        <v>230406.68</v>
      </c>
      <c r="E53" s="6">
        <v>0</v>
      </c>
      <c r="F53" s="6">
        <v>0</v>
      </c>
      <c r="G53" s="6">
        <v>0</v>
      </c>
      <c r="H53" s="6">
        <v>0</v>
      </c>
    </row>
    <row r="54" spans="1:8" x14ac:dyDescent="0.25">
      <c r="A54" s="11" t="s">
        <v>55</v>
      </c>
      <c r="B54" s="12" t="s">
        <v>61</v>
      </c>
      <c r="C54" s="6">
        <f>247665.84</f>
        <v>247665.84</v>
      </c>
      <c r="D54" s="6">
        <f>190785.93</f>
        <v>190785.93</v>
      </c>
      <c r="E54" s="6">
        <v>0</v>
      </c>
      <c r="F54" s="6">
        <v>0</v>
      </c>
      <c r="G54" s="6">
        <v>0</v>
      </c>
      <c r="H54" s="6">
        <v>0</v>
      </c>
    </row>
    <row r="55" spans="1:8" x14ac:dyDescent="0.25">
      <c r="A55" s="11" t="s">
        <v>55</v>
      </c>
      <c r="B55" s="12" t="s">
        <v>62</v>
      </c>
      <c r="C55" s="6">
        <f>112200</f>
        <v>112200</v>
      </c>
      <c r="D55" s="6">
        <f>129462.82+89653.86</f>
        <v>219116.68</v>
      </c>
      <c r="E55" s="6">
        <v>0</v>
      </c>
      <c r="F55" s="6">
        <v>0</v>
      </c>
      <c r="G55" s="6">
        <v>0</v>
      </c>
      <c r="H55" s="6">
        <v>0</v>
      </c>
    </row>
    <row r="56" spans="1:8" x14ac:dyDescent="0.25">
      <c r="A56" s="11" t="s">
        <v>55</v>
      </c>
      <c r="B56" s="12" t="s">
        <v>63</v>
      </c>
      <c r="C56" s="6">
        <f>845299.61</f>
        <v>845299.61</v>
      </c>
      <c r="D56" s="6">
        <f>338119.84</f>
        <v>338119.84</v>
      </c>
      <c r="E56" s="6">
        <v>0</v>
      </c>
      <c r="F56" s="6">
        <v>0</v>
      </c>
      <c r="G56" s="6">
        <v>0</v>
      </c>
      <c r="H56" s="6">
        <v>0</v>
      </c>
    </row>
    <row r="57" spans="1:8" x14ac:dyDescent="0.25">
      <c r="A57" s="11" t="s">
        <v>55</v>
      </c>
      <c r="B57" s="12" t="s">
        <v>64</v>
      </c>
      <c r="C57" s="6">
        <f>30988.73+122672.39</f>
        <v>153661.12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1:8" x14ac:dyDescent="0.25">
      <c r="A58" s="7" t="s">
        <v>14</v>
      </c>
      <c r="B58" s="8" t="s">
        <v>65</v>
      </c>
      <c r="C58" s="9">
        <f t="shared" ref="C58:H58" si="4">SUM(C50:C57)</f>
        <v>4840664.26</v>
      </c>
      <c r="D58" s="9">
        <f t="shared" si="4"/>
        <v>3242351.6000000006</v>
      </c>
      <c r="E58" s="9">
        <f t="shared" si="4"/>
        <v>0</v>
      </c>
      <c r="F58" s="9">
        <f t="shared" si="4"/>
        <v>0</v>
      </c>
      <c r="G58" s="9">
        <f t="shared" si="4"/>
        <v>0</v>
      </c>
      <c r="H58" s="9">
        <f t="shared" si="4"/>
        <v>0</v>
      </c>
    </row>
    <row r="59" spans="1:8" x14ac:dyDescent="0.25">
      <c r="A59" s="11" t="s">
        <v>66</v>
      </c>
      <c r="B59" s="12" t="s">
        <v>67</v>
      </c>
      <c r="C59" s="6">
        <f>46410.74</f>
        <v>46410.74</v>
      </c>
      <c r="D59" s="6">
        <f>201170.02</f>
        <v>201170.02</v>
      </c>
      <c r="E59" s="6">
        <v>0</v>
      </c>
      <c r="F59" s="6">
        <v>0</v>
      </c>
      <c r="G59" s="6">
        <v>0</v>
      </c>
      <c r="H59" s="6">
        <v>0</v>
      </c>
    </row>
    <row r="60" spans="1:8" x14ac:dyDescent="0.25">
      <c r="A60" s="11" t="s">
        <v>66</v>
      </c>
      <c r="B60" s="12" t="s">
        <v>68</v>
      </c>
      <c r="C60" s="6">
        <f>52547.77</f>
        <v>52547.77</v>
      </c>
      <c r="D60" s="6">
        <f>491061.16</f>
        <v>491061.16</v>
      </c>
      <c r="E60" s="6">
        <v>0</v>
      </c>
      <c r="F60" s="6">
        <v>0</v>
      </c>
      <c r="G60" s="6">
        <v>0</v>
      </c>
      <c r="H60" s="6">
        <v>0</v>
      </c>
    </row>
    <row r="61" spans="1:8" x14ac:dyDescent="0.25">
      <c r="A61" s="11" t="s">
        <v>66</v>
      </c>
      <c r="B61" s="12" t="s">
        <v>69</v>
      </c>
      <c r="C61" s="6">
        <f>82500</f>
        <v>82500</v>
      </c>
      <c r="D61" s="6">
        <f>41945.36</f>
        <v>41945.36</v>
      </c>
      <c r="E61" s="6">
        <v>0</v>
      </c>
      <c r="F61" s="6">
        <v>0</v>
      </c>
      <c r="G61" s="6">
        <v>0</v>
      </c>
      <c r="H61" s="6">
        <v>0</v>
      </c>
    </row>
    <row r="62" spans="1:8" x14ac:dyDescent="0.25">
      <c r="A62" s="11" t="s">
        <v>66</v>
      </c>
      <c r="B62" s="12" t="s">
        <v>70</v>
      </c>
      <c r="C62" s="6">
        <f>88899.29</f>
        <v>88899.29</v>
      </c>
      <c r="D62" s="6">
        <f>88899.29</f>
        <v>88899.29</v>
      </c>
      <c r="E62" s="6">
        <v>0</v>
      </c>
      <c r="F62" s="6">
        <v>0</v>
      </c>
      <c r="G62" s="6">
        <v>0</v>
      </c>
      <c r="H62" s="6">
        <v>0</v>
      </c>
    </row>
    <row r="63" spans="1:8" x14ac:dyDescent="0.25">
      <c r="A63" s="11" t="s">
        <v>66</v>
      </c>
      <c r="B63" s="12" t="s">
        <v>71</v>
      </c>
      <c r="C63" s="6">
        <f>31613.2</f>
        <v>31613.200000000001</v>
      </c>
      <c r="D63" s="6">
        <f>32365.08</f>
        <v>32365.08</v>
      </c>
      <c r="E63" s="6">
        <v>0</v>
      </c>
      <c r="F63" s="6">
        <v>0</v>
      </c>
      <c r="G63" s="6">
        <v>0</v>
      </c>
      <c r="H63" s="6">
        <v>0</v>
      </c>
    </row>
    <row r="64" spans="1:8" x14ac:dyDescent="0.25">
      <c r="A64" s="11" t="s">
        <v>66</v>
      </c>
      <c r="B64" s="12" t="s">
        <v>72</v>
      </c>
      <c r="C64" s="6">
        <f>693605.6</f>
        <v>693605.6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8" x14ac:dyDescent="0.25">
      <c r="A65" s="11" t="s">
        <v>66</v>
      </c>
      <c r="B65" s="12" t="s">
        <v>131</v>
      </c>
      <c r="C65" s="6">
        <v>0</v>
      </c>
      <c r="D65" s="6">
        <f>534019.78</f>
        <v>534019.78</v>
      </c>
      <c r="E65" s="6">
        <v>0</v>
      </c>
      <c r="F65" s="6">
        <v>0</v>
      </c>
      <c r="G65" s="6">
        <v>0</v>
      </c>
      <c r="H65" s="6">
        <v>0</v>
      </c>
    </row>
    <row r="66" spans="1:8" x14ac:dyDescent="0.25">
      <c r="A66" s="11" t="s">
        <v>66</v>
      </c>
      <c r="B66" s="12" t="s">
        <v>132</v>
      </c>
      <c r="C66" s="6">
        <v>0</v>
      </c>
      <c r="D66" s="6">
        <f>70727.12</f>
        <v>70727.12</v>
      </c>
      <c r="E66" s="6">
        <v>0</v>
      </c>
      <c r="F66" s="6">
        <v>0</v>
      </c>
      <c r="G66" s="6">
        <v>0</v>
      </c>
      <c r="H66" s="6">
        <v>0</v>
      </c>
    </row>
    <row r="67" spans="1:8" x14ac:dyDescent="0.25">
      <c r="A67" s="11" t="s">
        <v>66</v>
      </c>
      <c r="B67" s="12" t="s">
        <v>133</v>
      </c>
      <c r="C67" s="6">
        <v>0</v>
      </c>
      <c r="D67" s="6">
        <f>38324.3</f>
        <v>38324.300000000003</v>
      </c>
      <c r="E67" s="6">
        <v>0</v>
      </c>
      <c r="F67" s="6">
        <v>0</v>
      </c>
      <c r="G67" s="6">
        <v>0</v>
      </c>
      <c r="H67" s="6">
        <v>0</v>
      </c>
    </row>
    <row r="68" spans="1:8" x14ac:dyDescent="0.25">
      <c r="A68" s="11" t="s">
        <v>66</v>
      </c>
      <c r="B68" s="12" t="s">
        <v>134</v>
      </c>
      <c r="C68" s="6">
        <v>0</v>
      </c>
      <c r="D68" s="6">
        <f>93486.46</f>
        <v>93486.46</v>
      </c>
      <c r="E68" s="6">
        <v>0</v>
      </c>
      <c r="F68" s="6">
        <v>0</v>
      </c>
      <c r="G68" s="6">
        <v>0</v>
      </c>
      <c r="H68" s="6">
        <v>0</v>
      </c>
    </row>
    <row r="69" spans="1:8" x14ac:dyDescent="0.25">
      <c r="A69" s="11" t="s">
        <v>66</v>
      </c>
      <c r="B69" s="12" t="s">
        <v>135</v>
      </c>
      <c r="C69" s="6">
        <v>0</v>
      </c>
      <c r="D69" s="6">
        <f>188463.23</f>
        <v>188463.23</v>
      </c>
      <c r="E69" s="6">
        <v>0</v>
      </c>
      <c r="F69" s="6">
        <v>0</v>
      </c>
      <c r="G69" s="6">
        <v>0</v>
      </c>
      <c r="H69" s="6">
        <v>0</v>
      </c>
    </row>
    <row r="70" spans="1:8" x14ac:dyDescent="0.25">
      <c r="A70" s="11" t="s">
        <v>66</v>
      </c>
      <c r="B70" s="12" t="s">
        <v>73</v>
      </c>
      <c r="C70" s="6">
        <v>2766334.44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1:8" x14ac:dyDescent="0.25">
      <c r="A71" s="11" t="s">
        <v>66</v>
      </c>
      <c r="B71" s="12" t="s">
        <v>138</v>
      </c>
      <c r="C71" s="6">
        <v>0</v>
      </c>
      <c r="D71" s="6">
        <f>336653.88</f>
        <v>336653.88</v>
      </c>
      <c r="E71" s="6">
        <v>0</v>
      </c>
      <c r="F71" s="6">
        <v>0</v>
      </c>
      <c r="G71" s="6">
        <v>0</v>
      </c>
      <c r="H71" s="6">
        <v>0</v>
      </c>
    </row>
    <row r="72" spans="1:8" x14ac:dyDescent="0.25">
      <c r="A72" s="11" t="s">
        <v>66</v>
      </c>
      <c r="B72" s="12" t="s">
        <v>74</v>
      </c>
      <c r="C72" s="6">
        <f>642692.7+109472</f>
        <v>752164.7</v>
      </c>
      <c r="D72" s="6">
        <f>109472</f>
        <v>109472</v>
      </c>
      <c r="E72" s="6">
        <v>0</v>
      </c>
      <c r="F72" s="6">
        <v>0</v>
      </c>
      <c r="G72" s="6">
        <v>0</v>
      </c>
      <c r="H72" s="6">
        <v>0</v>
      </c>
    </row>
    <row r="73" spans="1:8" x14ac:dyDescent="0.25">
      <c r="A73" s="11" t="s">
        <v>66</v>
      </c>
      <c r="B73" s="12" t="s">
        <v>75</v>
      </c>
      <c r="C73" s="6">
        <f>580215</f>
        <v>580215</v>
      </c>
      <c r="D73" s="6">
        <f>231242.06</f>
        <v>231242.06</v>
      </c>
      <c r="E73" s="6">
        <v>0</v>
      </c>
      <c r="F73" s="6">
        <v>0</v>
      </c>
      <c r="G73" s="6">
        <v>0</v>
      </c>
      <c r="H73" s="6">
        <v>0</v>
      </c>
    </row>
    <row r="74" spans="1:8" x14ac:dyDescent="0.25">
      <c r="A74" s="11" t="s">
        <v>66</v>
      </c>
      <c r="B74" s="12" t="s">
        <v>76</v>
      </c>
      <c r="C74" s="6">
        <f>74225.06</f>
        <v>74225.06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1:8" x14ac:dyDescent="0.25">
      <c r="A75" s="11" t="s">
        <v>66</v>
      </c>
      <c r="B75" s="12" t="s">
        <v>77</v>
      </c>
      <c r="C75" s="6">
        <f>800000</f>
        <v>800000</v>
      </c>
      <c r="D75" s="6">
        <f>552949.34</f>
        <v>552949.34</v>
      </c>
      <c r="E75" s="6">
        <v>0</v>
      </c>
      <c r="F75" s="6">
        <v>0</v>
      </c>
      <c r="G75" s="6">
        <v>0</v>
      </c>
      <c r="H75" s="6">
        <v>0</v>
      </c>
    </row>
    <row r="76" spans="1:8" x14ac:dyDescent="0.25">
      <c r="A76" s="11" t="s">
        <v>66</v>
      </c>
      <c r="B76" s="12" t="s">
        <v>78</v>
      </c>
      <c r="C76" s="6">
        <f>1914631.65</f>
        <v>1914631.65</v>
      </c>
      <c r="D76" s="6">
        <f>540248.66</f>
        <v>540248.66</v>
      </c>
      <c r="E76" s="6">
        <v>0</v>
      </c>
      <c r="F76" s="6">
        <v>0</v>
      </c>
      <c r="G76" s="6">
        <v>0</v>
      </c>
      <c r="H76" s="6">
        <v>0</v>
      </c>
    </row>
    <row r="77" spans="1:8" x14ac:dyDescent="0.25">
      <c r="A77" s="11" t="s">
        <v>66</v>
      </c>
      <c r="B77" s="12" t="s">
        <v>79</v>
      </c>
      <c r="C77" s="6">
        <f>512486.24</f>
        <v>512486.24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1:8" x14ac:dyDescent="0.25">
      <c r="A78" s="11" t="s">
        <v>66</v>
      </c>
      <c r="B78" s="12" t="s">
        <v>80</v>
      </c>
      <c r="C78" s="6">
        <f>1175000</f>
        <v>1175000</v>
      </c>
      <c r="D78" s="6">
        <f>280122.41</f>
        <v>280122.40999999997</v>
      </c>
      <c r="E78" s="6">
        <v>0</v>
      </c>
      <c r="F78" s="6">
        <v>0</v>
      </c>
      <c r="G78" s="6">
        <v>0</v>
      </c>
      <c r="H78" s="6">
        <v>0</v>
      </c>
    </row>
    <row r="79" spans="1:8" x14ac:dyDescent="0.25">
      <c r="A79" s="11" t="s">
        <v>66</v>
      </c>
      <c r="B79" s="12" t="s">
        <v>136</v>
      </c>
      <c r="C79" s="6">
        <v>0</v>
      </c>
      <c r="D79" s="6">
        <f>288238.5</f>
        <v>288238.5</v>
      </c>
      <c r="E79" s="6">
        <v>0</v>
      </c>
      <c r="F79" s="6">
        <v>0</v>
      </c>
      <c r="G79" s="6">
        <v>0</v>
      </c>
      <c r="H79" s="6">
        <v>0</v>
      </c>
    </row>
    <row r="80" spans="1:8" x14ac:dyDescent="0.25">
      <c r="A80" s="11" t="s">
        <v>66</v>
      </c>
      <c r="B80" s="12" t="s">
        <v>81</v>
      </c>
      <c r="C80" s="6">
        <f>23053.55</f>
        <v>23053.55</v>
      </c>
      <c r="D80" s="6">
        <f>22865.7</f>
        <v>22865.7</v>
      </c>
      <c r="E80" s="6">
        <v>0</v>
      </c>
      <c r="F80" s="6">
        <v>0</v>
      </c>
      <c r="G80" s="6">
        <v>0</v>
      </c>
      <c r="H80" s="6">
        <v>0</v>
      </c>
    </row>
    <row r="81" spans="1:8" x14ac:dyDescent="0.25">
      <c r="A81" s="11" t="s">
        <v>66</v>
      </c>
      <c r="B81" s="12" t="s">
        <v>82</v>
      </c>
      <c r="C81" s="6">
        <f>95944.63</f>
        <v>95944.63</v>
      </c>
      <c r="D81" s="6">
        <f>95944.63</f>
        <v>95944.63</v>
      </c>
      <c r="E81" s="6">
        <v>0</v>
      </c>
      <c r="F81" s="6">
        <v>0</v>
      </c>
      <c r="G81" s="6">
        <v>0</v>
      </c>
      <c r="H81" s="6">
        <v>0</v>
      </c>
    </row>
    <row r="82" spans="1:8" x14ac:dyDescent="0.25">
      <c r="A82" s="11" t="s">
        <v>66</v>
      </c>
      <c r="B82" s="12" t="s">
        <v>137</v>
      </c>
      <c r="C82" s="6">
        <v>0</v>
      </c>
      <c r="D82" s="6">
        <f>983360</f>
        <v>983360</v>
      </c>
      <c r="E82" s="6">
        <v>0</v>
      </c>
      <c r="F82" s="6">
        <v>0</v>
      </c>
      <c r="G82" s="6">
        <v>0</v>
      </c>
      <c r="H82" s="6">
        <v>0</v>
      </c>
    </row>
    <row r="83" spans="1:8" x14ac:dyDescent="0.25">
      <c r="A83" s="11" t="s">
        <v>83</v>
      </c>
      <c r="B83" s="12" t="s">
        <v>84</v>
      </c>
      <c r="C83" s="6">
        <f>98634.65</f>
        <v>98634.65</v>
      </c>
      <c r="D83" s="6">
        <f>98634.65+146181.58</f>
        <v>244816.22999999998</v>
      </c>
      <c r="E83" s="6">
        <v>0</v>
      </c>
      <c r="F83" s="6">
        <v>0</v>
      </c>
      <c r="G83" s="6">
        <v>0</v>
      </c>
      <c r="H83" s="6">
        <v>0</v>
      </c>
    </row>
    <row r="84" spans="1:8" x14ac:dyDescent="0.25">
      <c r="A84" s="7" t="s">
        <v>14</v>
      </c>
      <c r="B84" s="8" t="s">
        <v>85</v>
      </c>
      <c r="C84" s="9">
        <f t="shared" ref="C84:H84" si="5">SUM(C59:C83)</f>
        <v>9788266.5200000014</v>
      </c>
      <c r="D84" s="9">
        <f t="shared" si="5"/>
        <v>5466375.2100000009</v>
      </c>
      <c r="E84" s="9">
        <f t="shared" si="5"/>
        <v>0</v>
      </c>
      <c r="F84" s="9">
        <f t="shared" si="5"/>
        <v>0</v>
      </c>
      <c r="G84" s="9">
        <f t="shared" si="5"/>
        <v>0</v>
      </c>
      <c r="H84" s="9">
        <f t="shared" si="5"/>
        <v>0</v>
      </c>
    </row>
    <row r="85" spans="1:8" x14ac:dyDescent="0.25">
      <c r="A85" s="11" t="s">
        <v>86</v>
      </c>
      <c r="B85" s="12" t="s">
        <v>87</v>
      </c>
      <c r="C85" s="6">
        <f>290000+35850000</f>
        <v>36140000</v>
      </c>
      <c r="D85" s="6">
        <f>65610+149892+3330341</f>
        <v>3545843</v>
      </c>
      <c r="E85" s="6">
        <v>0</v>
      </c>
      <c r="F85" s="6">
        <v>0</v>
      </c>
      <c r="G85" s="6">
        <v>0</v>
      </c>
      <c r="H85" s="6">
        <v>0</v>
      </c>
    </row>
    <row r="86" spans="1:8" x14ac:dyDescent="0.25">
      <c r="A86" s="11" t="s">
        <v>86</v>
      </c>
      <c r="B86" s="12" t="s">
        <v>88</v>
      </c>
      <c r="C86" s="6">
        <f>980000</f>
        <v>980000</v>
      </c>
      <c r="D86" s="6">
        <f>406674</f>
        <v>406674</v>
      </c>
      <c r="E86" s="6">
        <v>0</v>
      </c>
      <c r="F86" s="6">
        <v>0</v>
      </c>
      <c r="G86" s="6">
        <v>0</v>
      </c>
      <c r="H86" s="6">
        <v>0</v>
      </c>
    </row>
    <row r="87" spans="1:8" x14ac:dyDescent="0.25">
      <c r="A87" s="11" t="s">
        <v>86</v>
      </c>
      <c r="B87" s="12" t="s">
        <v>89</v>
      </c>
      <c r="C87" s="6">
        <f>6190000</f>
        <v>6190000</v>
      </c>
      <c r="D87" s="6">
        <f>452887</f>
        <v>452887</v>
      </c>
      <c r="E87" s="6">
        <v>0</v>
      </c>
      <c r="F87" s="6">
        <v>0</v>
      </c>
      <c r="G87" s="6">
        <v>0</v>
      </c>
      <c r="H87" s="6">
        <v>0</v>
      </c>
    </row>
    <row r="88" spans="1:8" x14ac:dyDescent="0.25">
      <c r="A88" s="11" t="s">
        <v>86</v>
      </c>
      <c r="B88" s="12" t="s">
        <v>90</v>
      </c>
      <c r="C88" s="6">
        <f>700000</f>
        <v>700000</v>
      </c>
      <c r="D88" s="6">
        <f>451836</f>
        <v>451836</v>
      </c>
      <c r="E88" s="6">
        <v>0</v>
      </c>
      <c r="F88" s="6">
        <v>0</v>
      </c>
      <c r="G88" s="6">
        <v>0</v>
      </c>
      <c r="H88" s="6">
        <v>0</v>
      </c>
    </row>
    <row r="89" spans="1:8" x14ac:dyDescent="0.25">
      <c r="A89" s="11" t="s">
        <v>91</v>
      </c>
      <c r="B89" s="12" t="s">
        <v>92</v>
      </c>
      <c r="C89" s="13">
        <f>560127+24585</f>
        <v>584712</v>
      </c>
      <c r="D89" s="13">
        <v>0</v>
      </c>
      <c r="E89" s="6">
        <v>0</v>
      </c>
      <c r="F89" s="6">
        <v>0</v>
      </c>
      <c r="G89" s="6">
        <v>0</v>
      </c>
      <c r="H89" s="6">
        <v>0</v>
      </c>
    </row>
    <row r="90" spans="1:8" x14ac:dyDescent="0.25">
      <c r="A90" s="11" t="s">
        <v>91</v>
      </c>
      <c r="B90" s="12" t="s">
        <v>93</v>
      </c>
      <c r="C90" s="13">
        <f>301206+18870</f>
        <v>320076</v>
      </c>
      <c r="D90" s="13">
        <v>0</v>
      </c>
      <c r="E90" s="6">
        <v>0</v>
      </c>
      <c r="F90" s="6">
        <v>0</v>
      </c>
      <c r="G90" s="6">
        <v>0</v>
      </c>
      <c r="H90" s="6">
        <v>0</v>
      </c>
    </row>
    <row r="91" spans="1:8" x14ac:dyDescent="0.25">
      <c r="A91" s="11" t="s">
        <v>91</v>
      </c>
      <c r="B91" s="12" t="s">
        <v>94</v>
      </c>
      <c r="C91" s="13">
        <f>860170+56985</f>
        <v>917155</v>
      </c>
      <c r="D91" s="13">
        <f>8016.27</f>
        <v>8016.27</v>
      </c>
      <c r="E91" s="6">
        <v>0</v>
      </c>
      <c r="F91" s="6">
        <v>0</v>
      </c>
      <c r="G91" s="6">
        <v>0</v>
      </c>
      <c r="H91" s="6">
        <v>0</v>
      </c>
    </row>
    <row r="92" spans="1:8" x14ac:dyDescent="0.25">
      <c r="A92" s="11" t="s">
        <v>91</v>
      </c>
      <c r="B92" s="12" t="s">
        <v>95</v>
      </c>
      <c r="C92" s="13">
        <f>999435+266410</f>
        <v>1265845</v>
      </c>
      <c r="D92" s="13">
        <f>247903.05+88408.46</f>
        <v>336311.51</v>
      </c>
      <c r="E92" s="6">
        <v>0</v>
      </c>
      <c r="F92" s="6">
        <v>0</v>
      </c>
      <c r="G92" s="6">
        <v>0</v>
      </c>
      <c r="H92" s="6">
        <v>0</v>
      </c>
    </row>
    <row r="93" spans="1:8" x14ac:dyDescent="0.25">
      <c r="A93" s="11" t="s">
        <v>96</v>
      </c>
      <c r="B93" s="12" t="s">
        <v>97</v>
      </c>
      <c r="C93" s="13">
        <f>1408000</f>
        <v>1408000</v>
      </c>
      <c r="D93" s="13">
        <f>899455.92</f>
        <v>899455.92</v>
      </c>
      <c r="E93" s="6">
        <v>0</v>
      </c>
      <c r="F93" s="6">
        <v>0</v>
      </c>
      <c r="G93" s="6">
        <v>0</v>
      </c>
      <c r="H93" s="6">
        <v>0</v>
      </c>
    </row>
    <row r="94" spans="1:8" x14ac:dyDescent="0.25">
      <c r="A94" s="11" t="s">
        <v>98</v>
      </c>
      <c r="B94" s="12" t="s">
        <v>97</v>
      </c>
      <c r="C94" s="13">
        <f>312716.1</f>
        <v>312716.09999999998</v>
      </c>
      <c r="D94" s="13">
        <f>199418.76</f>
        <v>199418.76</v>
      </c>
      <c r="E94" s="6">
        <v>0</v>
      </c>
      <c r="F94" s="6">
        <v>0</v>
      </c>
      <c r="G94" s="6">
        <v>0</v>
      </c>
      <c r="H94" s="6">
        <v>0</v>
      </c>
    </row>
    <row r="95" spans="1:8" x14ac:dyDescent="0.25">
      <c r="A95" s="11" t="s">
        <v>99</v>
      </c>
      <c r="B95" s="12" t="s">
        <v>100</v>
      </c>
      <c r="C95" s="13">
        <f>11729913</f>
        <v>11729913</v>
      </c>
      <c r="D95" s="13">
        <f>1098863</f>
        <v>1098863</v>
      </c>
      <c r="E95" s="6">
        <v>0</v>
      </c>
      <c r="F95" s="6">
        <v>0</v>
      </c>
      <c r="G95" s="6">
        <v>0</v>
      </c>
      <c r="H95" s="6">
        <v>0</v>
      </c>
    </row>
    <row r="96" spans="1:8" x14ac:dyDescent="0.25">
      <c r="A96" s="11" t="s">
        <v>99</v>
      </c>
      <c r="B96" s="12" t="s">
        <v>90</v>
      </c>
      <c r="C96" s="13">
        <f>213611</f>
        <v>213611</v>
      </c>
      <c r="D96" s="13">
        <f>127867</f>
        <v>127867</v>
      </c>
      <c r="E96" s="6">
        <v>0</v>
      </c>
      <c r="F96" s="6">
        <v>0</v>
      </c>
      <c r="G96" s="6">
        <v>0</v>
      </c>
      <c r="H96" s="6">
        <v>0</v>
      </c>
    </row>
    <row r="97" spans="1:8" x14ac:dyDescent="0.25">
      <c r="A97" s="7" t="s">
        <v>14</v>
      </c>
      <c r="B97" s="8" t="s">
        <v>101</v>
      </c>
      <c r="C97" s="14">
        <f t="shared" ref="C97:H97" si="6">SUM(C85:C96)</f>
        <v>60762028.100000001</v>
      </c>
      <c r="D97" s="14">
        <f t="shared" si="6"/>
        <v>7527172.459999999</v>
      </c>
      <c r="E97" s="14">
        <f t="shared" si="6"/>
        <v>0</v>
      </c>
      <c r="F97" s="14">
        <f t="shared" si="6"/>
        <v>0</v>
      </c>
      <c r="G97" s="14">
        <f t="shared" si="6"/>
        <v>0</v>
      </c>
      <c r="H97" s="14">
        <f t="shared" si="6"/>
        <v>0</v>
      </c>
    </row>
    <row r="98" spans="1:8" x14ac:dyDescent="0.25">
      <c r="A98" s="11" t="s">
        <v>102</v>
      </c>
      <c r="B98" s="12" t="s">
        <v>103</v>
      </c>
      <c r="C98" s="13">
        <f>152553.56</f>
        <v>152553.56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</row>
    <row r="99" spans="1:8" x14ac:dyDescent="0.25">
      <c r="A99" s="11" t="s">
        <v>102</v>
      </c>
      <c r="B99" s="12" t="s">
        <v>104</v>
      </c>
      <c r="C99" s="6">
        <f>159900+10242.15</f>
        <v>170142.15</v>
      </c>
      <c r="D99" s="6">
        <f>10242.15+159966.12</f>
        <v>170208.27</v>
      </c>
      <c r="E99" s="13">
        <v>0</v>
      </c>
      <c r="F99" s="13">
        <v>0</v>
      </c>
      <c r="G99" s="13">
        <v>0</v>
      </c>
      <c r="H99" s="13">
        <v>0</v>
      </c>
    </row>
    <row r="100" spans="1:8" x14ac:dyDescent="0.25">
      <c r="A100" s="11" t="s">
        <v>102</v>
      </c>
      <c r="B100" s="12" t="s">
        <v>105</v>
      </c>
      <c r="C100" s="6">
        <f>1897450</f>
        <v>1897450</v>
      </c>
      <c r="D100" s="6">
        <f>110975.66</f>
        <v>110975.66</v>
      </c>
      <c r="E100" s="13">
        <v>0</v>
      </c>
      <c r="F100" s="13">
        <v>0</v>
      </c>
      <c r="G100" s="13">
        <v>0</v>
      </c>
      <c r="H100" s="13">
        <v>0</v>
      </c>
    </row>
    <row r="101" spans="1:8" x14ac:dyDescent="0.25">
      <c r="A101" s="11" t="s">
        <v>102</v>
      </c>
      <c r="B101" s="12" t="s">
        <v>106</v>
      </c>
      <c r="C101" s="6">
        <f>1289620.96+650186.96</f>
        <v>1939807.92</v>
      </c>
      <c r="D101" s="6">
        <f>487967.06+966911.55</f>
        <v>1454878.61</v>
      </c>
      <c r="E101" s="13">
        <v>0</v>
      </c>
      <c r="F101" s="13">
        <v>0</v>
      </c>
      <c r="G101" s="13">
        <v>0</v>
      </c>
      <c r="H101" s="13">
        <v>0</v>
      </c>
    </row>
    <row r="102" spans="1:8" x14ac:dyDescent="0.25">
      <c r="A102" s="11" t="s">
        <v>102</v>
      </c>
      <c r="B102" s="15" t="s">
        <v>107</v>
      </c>
      <c r="C102" s="6">
        <f>3914227.72+561586.23</f>
        <v>4475813.95</v>
      </c>
      <c r="D102" s="6">
        <f>360140.32+3911811.42</f>
        <v>4271951.74</v>
      </c>
      <c r="E102" s="13">
        <v>0</v>
      </c>
      <c r="F102" s="13">
        <v>0</v>
      </c>
      <c r="G102" s="13">
        <v>0</v>
      </c>
      <c r="H102" s="13">
        <v>0</v>
      </c>
    </row>
    <row r="103" spans="1:8" x14ac:dyDescent="0.25">
      <c r="A103" s="11" t="s">
        <v>102</v>
      </c>
      <c r="B103" s="15" t="s">
        <v>108</v>
      </c>
      <c r="C103" s="6">
        <f>1149407.4</f>
        <v>1149407.3999999999</v>
      </c>
      <c r="D103" s="6">
        <f>485243.6</f>
        <v>485243.6</v>
      </c>
      <c r="E103" s="13">
        <v>0</v>
      </c>
      <c r="F103" s="13">
        <v>0</v>
      </c>
      <c r="G103" s="13">
        <v>0</v>
      </c>
      <c r="H103" s="13">
        <v>0</v>
      </c>
    </row>
    <row r="104" spans="1:8" x14ac:dyDescent="0.25">
      <c r="A104" s="11" t="s">
        <v>102</v>
      </c>
      <c r="B104" s="15" t="s">
        <v>109</v>
      </c>
      <c r="C104" s="6">
        <f>14303.14</f>
        <v>14303.14</v>
      </c>
      <c r="D104" s="6">
        <v>0</v>
      </c>
      <c r="E104" s="13">
        <v>0</v>
      </c>
      <c r="F104" s="13">
        <v>0</v>
      </c>
      <c r="G104" s="13">
        <v>0</v>
      </c>
      <c r="H104" s="13">
        <v>0</v>
      </c>
    </row>
    <row r="105" spans="1:8" x14ac:dyDescent="0.25">
      <c r="A105" s="11" t="s">
        <v>102</v>
      </c>
      <c r="B105" s="15" t="s">
        <v>110</v>
      </c>
      <c r="C105" s="6">
        <f>202050</f>
        <v>202050</v>
      </c>
      <c r="D105" s="6">
        <v>0</v>
      </c>
      <c r="E105" s="13">
        <v>0</v>
      </c>
      <c r="F105" s="13">
        <v>0</v>
      </c>
      <c r="G105" s="13">
        <v>0</v>
      </c>
      <c r="H105" s="13">
        <v>0</v>
      </c>
    </row>
    <row r="106" spans="1:8" x14ac:dyDescent="0.25">
      <c r="A106" s="11" t="s">
        <v>102</v>
      </c>
      <c r="B106" s="15" t="s">
        <v>111</v>
      </c>
      <c r="C106" s="6">
        <f>517706.83+350797.27</f>
        <v>868504.10000000009</v>
      </c>
      <c r="D106" s="6">
        <f>927496.63</f>
        <v>927496.63</v>
      </c>
      <c r="E106" s="13">
        <v>0</v>
      </c>
      <c r="F106" s="13">
        <v>0</v>
      </c>
      <c r="G106" s="13">
        <v>0</v>
      </c>
      <c r="H106" s="13">
        <v>0</v>
      </c>
    </row>
    <row r="107" spans="1:8" x14ac:dyDescent="0.25">
      <c r="A107" s="11" t="s">
        <v>102</v>
      </c>
      <c r="B107" s="15" t="s">
        <v>112</v>
      </c>
      <c r="C107" s="6">
        <f>219692.24+454000</f>
        <v>673692.24</v>
      </c>
      <c r="D107" s="6">
        <f>52898</f>
        <v>52898</v>
      </c>
      <c r="E107" s="13">
        <v>0</v>
      </c>
      <c r="F107" s="13">
        <v>0</v>
      </c>
      <c r="G107" s="13">
        <v>0</v>
      </c>
      <c r="H107" s="13">
        <v>0</v>
      </c>
    </row>
    <row r="108" spans="1:8" x14ac:dyDescent="0.25">
      <c r="A108" s="11" t="s">
        <v>102</v>
      </c>
      <c r="B108" s="15" t="s">
        <v>113</v>
      </c>
      <c r="C108" s="6">
        <f>364850.95+490000</f>
        <v>854850.95</v>
      </c>
      <c r="D108" s="6">
        <f>166674.96</f>
        <v>166674.96</v>
      </c>
      <c r="E108" s="13">
        <v>0</v>
      </c>
      <c r="F108" s="13">
        <v>0</v>
      </c>
      <c r="G108" s="13">
        <v>0</v>
      </c>
      <c r="H108" s="13">
        <v>0</v>
      </c>
    </row>
    <row r="109" spans="1:8" x14ac:dyDescent="0.25">
      <c r="A109" s="11" t="s">
        <v>102</v>
      </c>
      <c r="B109" s="15" t="s">
        <v>114</v>
      </c>
      <c r="C109" s="6">
        <f>1479146.38+5622475.11+13660726.49+1250080.42+77025.05+3340000</f>
        <v>25429453.449999999</v>
      </c>
      <c r="D109" s="6">
        <f>5815711.25+1250080.42+1479146.38+3740675.85</f>
        <v>12285613.9</v>
      </c>
      <c r="E109" s="13">
        <v>0</v>
      </c>
      <c r="F109" s="13">
        <v>0</v>
      </c>
      <c r="G109" s="13">
        <v>0</v>
      </c>
      <c r="H109" s="13">
        <v>0</v>
      </c>
    </row>
    <row r="110" spans="1:8" x14ac:dyDescent="0.25">
      <c r="A110" s="11" t="s">
        <v>102</v>
      </c>
      <c r="B110" s="15" t="s">
        <v>115</v>
      </c>
      <c r="C110" s="6">
        <f>2795.6</f>
        <v>2795.6</v>
      </c>
      <c r="D110" s="6">
        <v>0</v>
      </c>
      <c r="E110" s="13">
        <v>0</v>
      </c>
      <c r="F110" s="13">
        <v>0</v>
      </c>
      <c r="G110" s="13">
        <v>0</v>
      </c>
      <c r="H110" s="13">
        <v>0</v>
      </c>
    </row>
    <row r="111" spans="1:8" x14ac:dyDescent="0.25">
      <c r="A111" s="11" t="s">
        <v>102</v>
      </c>
      <c r="B111" s="15" t="s">
        <v>116</v>
      </c>
      <c r="C111" s="6">
        <f>403009.51</f>
        <v>403009.51</v>
      </c>
      <c r="D111" s="6">
        <f>451576.53</f>
        <v>451576.53</v>
      </c>
      <c r="E111" s="13">
        <v>0</v>
      </c>
      <c r="F111" s="13">
        <v>0</v>
      </c>
      <c r="G111" s="13">
        <v>0</v>
      </c>
      <c r="H111" s="13">
        <v>0</v>
      </c>
    </row>
    <row r="112" spans="1:8" x14ac:dyDescent="0.25">
      <c r="A112" s="11" t="s">
        <v>102</v>
      </c>
      <c r="B112" s="15" t="s">
        <v>117</v>
      </c>
      <c r="C112" s="6">
        <f>53900.42</f>
        <v>53900.42</v>
      </c>
      <c r="D112" s="6">
        <v>0</v>
      </c>
      <c r="E112" s="13">
        <v>0</v>
      </c>
      <c r="F112" s="13">
        <v>0</v>
      </c>
      <c r="G112" s="13">
        <v>0</v>
      </c>
      <c r="H112" s="13">
        <v>0</v>
      </c>
    </row>
    <row r="113" spans="1:12" x14ac:dyDescent="0.25">
      <c r="A113" s="11" t="s">
        <v>102</v>
      </c>
      <c r="B113" s="15" t="s">
        <v>118</v>
      </c>
      <c r="C113" s="6">
        <f>706336.35</f>
        <v>706336.35</v>
      </c>
      <c r="D113" s="6">
        <f>649494.61</f>
        <v>649494.61</v>
      </c>
      <c r="E113" s="13">
        <v>0</v>
      </c>
      <c r="F113" s="13">
        <v>0</v>
      </c>
      <c r="G113" s="13">
        <v>0</v>
      </c>
      <c r="H113" s="13">
        <v>0</v>
      </c>
    </row>
    <row r="114" spans="1:12" x14ac:dyDescent="0.25">
      <c r="A114" s="11" t="s">
        <v>102</v>
      </c>
      <c r="B114" s="15" t="s">
        <v>119</v>
      </c>
      <c r="C114" s="6">
        <f>530073.77</f>
        <v>530073.77</v>
      </c>
      <c r="D114" s="6">
        <f>305068.57</f>
        <v>305068.57</v>
      </c>
      <c r="E114" s="13">
        <v>0</v>
      </c>
      <c r="F114" s="13">
        <v>0</v>
      </c>
      <c r="G114" s="13">
        <v>0</v>
      </c>
      <c r="H114" s="13">
        <v>0</v>
      </c>
    </row>
    <row r="115" spans="1:12" x14ac:dyDescent="0.25">
      <c r="A115" s="7" t="s">
        <v>14</v>
      </c>
      <c r="B115" s="16" t="s">
        <v>120</v>
      </c>
      <c r="C115" s="9">
        <f t="shared" ref="C115:H115" si="7">SUM(C98:C114)</f>
        <v>39524144.510000005</v>
      </c>
      <c r="D115" s="9">
        <f t="shared" si="7"/>
        <v>21332081.080000002</v>
      </c>
      <c r="E115" s="9">
        <f t="shared" si="7"/>
        <v>0</v>
      </c>
      <c r="F115" s="9">
        <f t="shared" si="7"/>
        <v>0</v>
      </c>
      <c r="G115" s="9">
        <f t="shared" si="7"/>
        <v>0</v>
      </c>
      <c r="H115" s="9">
        <f t="shared" si="7"/>
        <v>0</v>
      </c>
    </row>
    <row r="117" spans="1:12" ht="15.75" x14ac:dyDescent="0.25">
      <c r="A117" s="17" t="s">
        <v>122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ht="15.75" x14ac:dyDescent="0.25">
      <c r="A118" s="19" t="s">
        <v>123</v>
      </c>
      <c r="B118" s="19"/>
      <c r="C118" s="19"/>
      <c r="D118" s="19"/>
      <c r="E118" s="19"/>
      <c r="F118" s="19"/>
    </row>
    <row r="119" spans="1:12" ht="15.75" x14ac:dyDescent="0.25">
      <c r="A119" s="20" t="s">
        <v>129</v>
      </c>
      <c r="B119" s="20"/>
      <c r="C119" s="20"/>
      <c r="D119" s="20"/>
      <c r="E119" s="20"/>
      <c r="F119" s="20"/>
    </row>
    <row r="121" spans="1:12" x14ac:dyDescent="0.25">
      <c r="A121" s="18" t="s">
        <v>121</v>
      </c>
      <c r="B121" s="18"/>
      <c r="C121" s="18"/>
      <c r="D121" s="18"/>
      <c r="E121" s="18"/>
      <c r="F121" s="18"/>
      <c r="G121" s="18"/>
    </row>
  </sheetData>
  <mergeCells count="3">
    <mergeCell ref="A121:G121"/>
    <mergeCell ref="A118:F118"/>
    <mergeCell ref="A119:F1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Roko</dc:creator>
  <cp:lastModifiedBy>Roko</cp:lastModifiedBy>
  <dcterms:created xsi:type="dcterms:W3CDTF">2020-10-02T11:39:44Z</dcterms:created>
  <dcterms:modified xsi:type="dcterms:W3CDTF">2020-10-08T06:16:32Z</dcterms:modified>
</cp:coreProperties>
</file>